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30" windowWidth="15165" windowHeight="9660" activeTab="0"/>
  </bookViews>
  <sheets>
    <sheet name="solver" sheetId="1" r:id="rId1"/>
  </sheets>
  <definedNames>
    <definedName name="solver_adj" localSheetId="0" hidden="1">'solver'!$C$5,'solver'!$C$6,'solver'!$C$7</definedName>
    <definedName name="solver_cvg" localSheetId="0" hidden="1">0.0000000000001</definedName>
    <definedName name="solver_drv" localSheetId="0" hidden="1">2</definedName>
    <definedName name="solver_est" localSheetId="0" hidden="1">2</definedName>
    <definedName name="solver_itr" localSheetId="0" hidden="1">32750</definedName>
    <definedName name="solver_lhs1" localSheetId="0" hidden="1">'solver'!$C$9</definedName>
    <definedName name="solver_lhs10" localSheetId="0" hidden="1">'solver'!$K$18</definedName>
    <definedName name="solver_lhs11" localSheetId="0" hidden="1">'solver'!$K$18</definedName>
    <definedName name="solver_lhs2" localSheetId="0" hidden="1">'solver'!$C$5</definedName>
    <definedName name="solver_lhs3" localSheetId="0" hidden="1">'solver'!$C$5</definedName>
    <definedName name="solver_lhs4" localSheetId="0" hidden="1">'solver'!$C$6</definedName>
    <definedName name="solver_lhs5" localSheetId="0" hidden="1">'solver'!$C$6</definedName>
    <definedName name="solver_lhs6" localSheetId="0" hidden="1">'solver'!$C$7</definedName>
    <definedName name="solver_lhs7" localSheetId="0" hidden="1">'solver'!$C$7</definedName>
    <definedName name="solver_lhs8" localSheetId="0" hidden="1">'solver'!$L$15</definedName>
    <definedName name="solver_lhs9" localSheetId="0" hidden="1">'solver'!$C$7</definedName>
    <definedName name="solver_lin" localSheetId="0" hidden="1">2</definedName>
    <definedName name="solver_neg" localSheetId="0" hidden="1">1</definedName>
    <definedName name="solver_num" localSheetId="0" hidden="1">9</definedName>
    <definedName name="solver_nwt" localSheetId="0" hidden="1">1</definedName>
    <definedName name="solver_opt" localSheetId="0" hidden="1">'solver'!$K$15</definedName>
    <definedName name="solver_pre" localSheetId="0" hidden="1">0.00000000001</definedName>
    <definedName name="solver_rel1" localSheetId="0" hidden="1">3</definedName>
    <definedName name="solver_rel10" localSheetId="0" hidden="1">3</definedName>
    <definedName name="solver_rel11" localSheetId="0" hidden="1">3</definedName>
    <definedName name="solver_rel2" localSheetId="0" hidden="1">1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l6" localSheetId="0" hidden="1">1</definedName>
    <definedName name="solver_rel7" localSheetId="0" hidden="1">3</definedName>
    <definedName name="solver_rel8" localSheetId="0" hidden="1">2</definedName>
    <definedName name="solver_rel9" localSheetId="0" hidden="1">1</definedName>
    <definedName name="solver_rhs1" localSheetId="0" hidden="1">0.00000000001</definedName>
    <definedName name="solver_rhs10" localSheetId="0" hidden="1">0.001</definedName>
    <definedName name="solver_rhs11" localSheetId="0" hidden="1">0.001</definedName>
    <definedName name="solver_rhs2" localSheetId="0" hidden="1">240</definedName>
    <definedName name="solver_rhs3" localSheetId="0" hidden="1">0.00000001</definedName>
    <definedName name="solver_rhs4" localSheetId="0" hidden="1">0.999</definedName>
    <definedName name="solver_rhs5" localSheetId="0" hidden="1">0.001</definedName>
    <definedName name="solver_rhs6" localSheetId="0" hidden="1">0.9</definedName>
    <definedName name="solver_rhs7" localSheetId="0" hidden="1">0.0001</definedName>
    <definedName name="solver_rhs8" localSheetId="0" hidden="1">1</definedName>
    <definedName name="solver_rhs9" localSheetId="0" hidden="1">'solver'!$E$7</definedName>
    <definedName name="solver_scl" localSheetId="0" hidden="1">2</definedName>
    <definedName name="solver_sho" localSheetId="0" hidden="1">2</definedName>
    <definedName name="solver_tim" localSheetId="0" hidden="1">300</definedName>
    <definedName name="solver_tol" localSheetId="0" hidden="1">0.00000001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<sst xmlns="http://schemas.openxmlformats.org/spreadsheetml/2006/main" count="139" uniqueCount="110">
  <si>
    <t>init rate</t>
  </si>
  <si>
    <t>init target</t>
  </si>
  <si>
    <t>mean target</t>
  </si>
  <si>
    <t>reversion</t>
  </si>
  <si>
    <t>vol target</t>
  </si>
  <si>
    <t>alpha</t>
  </si>
  <si>
    <t>beta</t>
  </si>
  <si>
    <t>adj vol</t>
  </si>
  <si>
    <t>sigma obs</t>
  </si>
  <si>
    <t>sigma</t>
  </si>
  <si>
    <t>F</t>
  </si>
  <si>
    <t>x</t>
  </si>
  <si>
    <t>Ld</t>
  </si>
  <si>
    <t>sigma2</t>
  </si>
  <si>
    <t>pho11</t>
  </si>
  <si>
    <t>mu4</t>
  </si>
  <si>
    <t>r0</t>
  </si>
  <si>
    <t>T0</t>
  </si>
  <si>
    <t>mu</t>
  </si>
  <si>
    <t>E[rt^l]</t>
  </si>
  <si>
    <t>E[rt]</t>
  </si>
  <si>
    <t>l</t>
  </si>
  <si>
    <t>sigmaT</t>
  </si>
  <si>
    <t>(1-F)^2</t>
  </si>
  <si>
    <t>Ld-</t>
  </si>
  <si>
    <t>(1-F)</t>
  </si>
  <si>
    <t>dt</t>
  </si>
  <si>
    <t>time step</t>
  </si>
  <si>
    <t>E2</t>
  </si>
  <si>
    <t>(1-F)^3</t>
  </si>
  <si>
    <t>(1-F)^4</t>
  </si>
  <si>
    <t>E4</t>
  </si>
  <si>
    <t>a</t>
  </si>
  <si>
    <t>c</t>
  </si>
  <si>
    <t>d</t>
  </si>
  <si>
    <t>E2E2</t>
  </si>
  <si>
    <t>e</t>
  </si>
  <si>
    <t>E22</t>
  </si>
  <si>
    <t>b</t>
  </si>
  <si>
    <t>sigma obs^2</t>
  </si>
  <si>
    <t>SD[rt]</t>
  </si>
  <si>
    <t>historical data:</t>
  </si>
  <si>
    <t>mu LN(rt)</t>
  </si>
  <si>
    <t>sigma2 LN(rt)</t>
  </si>
  <si>
    <t>sigma LN(rt)</t>
  </si>
  <si>
    <t>SKEW[rt]</t>
  </si>
  <si>
    <t>KURT[rt]</t>
  </si>
  <si>
    <t xml:space="preserve"> </t>
  </si>
  <si>
    <t>COEVAR[rt]</t>
  </si>
  <si>
    <t xml:space="preserve">  </t>
  </si>
  <si>
    <t>adj var</t>
  </si>
  <si>
    <t>ratio of</t>
  </si>
  <si>
    <t>min(1-F,.999)</t>
  </si>
  <si>
    <t>max(sigma^2,0)</t>
  </si>
  <si>
    <t>(1-F)^-2</t>
  </si>
  <si>
    <t>(1-F)^5</t>
  </si>
  <si>
    <t>(1-F)^6</t>
  </si>
  <si>
    <t>h</t>
  </si>
  <si>
    <t>E6</t>
  </si>
  <si>
    <t>I</t>
  </si>
  <si>
    <t>E4E2</t>
  </si>
  <si>
    <t>j</t>
  </si>
  <si>
    <t>E2E22</t>
  </si>
  <si>
    <t>k</t>
  </si>
  <si>
    <t>pho21</t>
  </si>
  <si>
    <t>pho111</t>
  </si>
  <si>
    <t>g</t>
  </si>
  <si>
    <t>E23</t>
  </si>
  <si>
    <t>mu6</t>
  </si>
  <si>
    <t>6th[rt]</t>
  </si>
  <si>
    <t>n</t>
  </si>
  <si>
    <t>E8</t>
  </si>
  <si>
    <t>o</t>
  </si>
  <si>
    <t>E6E2</t>
  </si>
  <si>
    <t>p</t>
  </si>
  <si>
    <t>E4E4</t>
  </si>
  <si>
    <t>q</t>
  </si>
  <si>
    <t>E4E22</t>
  </si>
  <si>
    <t>r</t>
  </si>
  <si>
    <t>E2E23</t>
  </si>
  <si>
    <t>s</t>
  </si>
  <si>
    <t>pho22</t>
  </si>
  <si>
    <t>t</t>
  </si>
  <si>
    <t>pho211</t>
  </si>
  <si>
    <t>v</t>
  </si>
  <si>
    <t>pho31</t>
  </si>
  <si>
    <t>pho13</t>
  </si>
  <si>
    <t>u</t>
  </si>
  <si>
    <t>pho1111</t>
  </si>
  <si>
    <t>m</t>
  </si>
  <si>
    <t>E24</t>
  </si>
  <si>
    <t>T bar</t>
  </si>
  <si>
    <t>(1-F)^7</t>
  </si>
  <si>
    <t>(1-F)^8</t>
  </si>
  <si>
    <t>(1-F)^-4</t>
  </si>
  <si>
    <t>(1-F)^-6</t>
  </si>
  <si>
    <t>E[(1-(1-F)d)2]</t>
  </si>
  <si>
    <t>E[(1-(1-F)d)4]</t>
  </si>
  <si>
    <t>E[(1-(1-F)d)6]</t>
  </si>
  <si>
    <t>E[(1-(1-F)d)8]</t>
  </si>
  <si>
    <t>E[(1-(1-F)d-)2]</t>
  </si>
  <si>
    <t>E[(1-(1-F)d-)4]</t>
  </si>
  <si>
    <t>E[(1-(1-F)d-)6]</t>
  </si>
  <si>
    <t>E[(1-(1-F)d-)8]</t>
  </si>
  <si>
    <t>f</t>
  </si>
  <si>
    <t>mu8</t>
  </si>
  <si>
    <t>remember, these are asymptotic!</t>
  </si>
  <si>
    <t>not 4&lt;C27</t>
  </si>
  <si>
    <t>check x</t>
  </si>
  <si>
    <t xml:space="preserve">in range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</si>
</sst>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000000"/>
    <numFmt numFmtId="168" formatCode="0.0000000000"/>
    <numFmt numFmtId="169" formatCode="0.0"/>
    <numFmt numFmtId="170" formatCode="0.000"/>
    <numFmt numFmtId="171" formatCode="0.0000"/>
    <numFmt numFmtId="172" formatCode="0.00000"/>
    <numFmt numFmtId="173" formatCode="[$-409]mmm\-yy;@"/>
    <numFmt numFmtId="174" formatCode="0.00000000000000"/>
    <numFmt numFmtId="175" formatCode="0.0000000000000"/>
    <numFmt numFmtId="176" formatCode="0.000000000000"/>
    <numFmt numFmtId="177" formatCode="0.00000000000"/>
  </numFmts>
  <fonts count="36">
    <font>
      <sz val="10"/>
      <name val="Arial"/>
      <family val="0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33" borderId="0" xfId="0" applyFont="1" applyFill="1" applyAlignment="1">
      <alignment/>
    </xf>
    <xf numFmtId="16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W45" sqref="W45"/>
    </sheetView>
  </sheetViews>
  <sheetFormatPr defaultColWidth="9.140625" defaultRowHeight="12.75"/>
  <cols>
    <col min="2" max="2" width="13.28125" style="0" customWidth="1"/>
    <col min="3" max="3" width="13.140625" style="0" bestFit="1" customWidth="1"/>
    <col min="4" max="4" width="12.00390625" style="0" bestFit="1" customWidth="1"/>
    <col min="6" max="6" width="12.28125" style="0" bestFit="1" customWidth="1"/>
    <col min="8" max="8" width="10.140625" style="0" customWidth="1"/>
    <col min="9" max="9" width="9.57421875" style="0" bestFit="1" customWidth="1"/>
    <col min="10" max="10" width="10.8515625" style="0" customWidth="1"/>
    <col min="11" max="11" width="9.8515625" style="0" customWidth="1"/>
    <col min="12" max="12" width="10.421875" style="0" customWidth="1"/>
    <col min="13" max="13" width="9.57421875" style="0" customWidth="1"/>
  </cols>
  <sheetData>
    <row r="1" spans="1:8" ht="12.75">
      <c r="A1" t="s">
        <v>0</v>
      </c>
      <c r="B1" t="s">
        <v>16</v>
      </c>
      <c r="C1">
        <f>I5</f>
        <v>0.06441</v>
      </c>
      <c r="H1" t="s">
        <v>41</v>
      </c>
    </row>
    <row r="2" spans="1:9" ht="12.75">
      <c r="A2" t="s">
        <v>1</v>
      </c>
      <c r="B2" t="s">
        <v>17</v>
      </c>
      <c r="C2">
        <f>I5</f>
        <v>0.06441</v>
      </c>
      <c r="H2" t="s">
        <v>42</v>
      </c>
      <c r="I2">
        <v>-2.825</v>
      </c>
    </row>
    <row r="3" spans="1:11" ht="12.75">
      <c r="A3" t="s">
        <v>2</v>
      </c>
      <c r="B3" t="s">
        <v>91</v>
      </c>
      <c r="C3">
        <f>I5</f>
        <v>0.06441</v>
      </c>
      <c r="H3" s="2" t="s">
        <v>43</v>
      </c>
      <c r="I3" s="4">
        <f>K3^2</f>
        <v>0.16573041000000002</v>
      </c>
      <c r="J3" t="s">
        <v>44</v>
      </c>
      <c r="K3" s="4">
        <v>0.4071</v>
      </c>
    </row>
    <row r="4" spans="1:13" ht="12.75">
      <c r="A4" t="s">
        <v>5</v>
      </c>
      <c r="C4">
        <v>3</v>
      </c>
      <c r="H4" s="2" t="s">
        <v>39</v>
      </c>
      <c r="I4" s="7">
        <f>K4^2</f>
        <v>0.0014364100000000002</v>
      </c>
      <c r="J4" t="s">
        <v>8</v>
      </c>
      <c r="K4">
        <v>0.0379</v>
      </c>
      <c r="M4" s="6"/>
    </row>
    <row r="5" spans="1:9" ht="12.75">
      <c r="A5" t="s">
        <v>6</v>
      </c>
      <c r="C5" s="3">
        <v>6</v>
      </c>
      <c r="D5" s="11" t="s">
        <v>49</v>
      </c>
      <c r="E5" s="11" t="s">
        <v>47</v>
      </c>
      <c r="H5" t="s">
        <v>20</v>
      </c>
      <c r="I5" s="6">
        <v>0.06441</v>
      </c>
    </row>
    <row r="6" spans="1:13" ht="12.75">
      <c r="A6" t="s">
        <v>3</v>
      </c>
      <c r="B6" t="s">
        <v>10</v>
      </c>
      <c r="C6" s="19">
        <v>0.041582796</v>
      </c>
      <c r="D6" s="11" t="s">
        <v>47</v>
      </c>
      <c r="E6" s="11" t="s">
        <v>47</v>
      </c>
      <c r="H6" s="11" t="s">
        <v>48</v>
      </c>
      <c r="I6" s="10">
        <f>K6/I5</f>
        <v>0.41592920353982304</v>
      </c>
      <c r="J6" t="s">
        <v>40</v>
      </c>
      <c r="K6">
        <v>0.02679</v>
      </c>
      <c r="M6" s="7"/>
    </row>
    <row r="7" spans="1:13" ht="12.75">
      <c r="A7" t="s">
        <v>4</v>
      </c>
      <c r="B7" t="s">
        <v>22</v>
      </c>
      <c r="C7" s="19">
        <v>0.651209243</v>
      </c>
      <c r="E7" s="11">
        <f>K4/(1-C31^C10)</f>
        <v>0.9114346231071132</v>
      </c>
      <c r="H7" s="5" t="s">
        <v>45</v>
      </c>
      <c r="I7" s="4">
        <v>0.946</v>
      </c>
      <c r="M7" s="4"/>
    </row>
    <row r="8" spans="1:13" ht="12.75">
      <c r="A8" t="s">
        <v>7</v>
      </c>
      <c r="B8" t="s">
        <v>9</v>
      </c>
      <c r="C8" s="11">
        <f>C9^0.5</f>
        <v>0.027667117743256524</v>
      </c>
      <c r="D8" s="11" t="s">
        <v>47</v>
      </c>
      <c r="E8" s="11" t="s">
        <v>47</v>
      </c>
      <c r="H8" s="5" t="s">
        <v>46</v>
      </c>
      <c r="I8" s="4">
        <v>3.6186</v>
      </c>
      <c r="M8" s="4"/>
    </row>
    <row r="9" spans="1:9" ht="12.75">
      <c r="A9" s="11" t="s">
        <v>50</v>
      </c>
      <c r="B9" s="11" t="s">
        <v>53</v>
      </c>
      <c r="C9" s="9">
        <f>MAX(((I4-(1-C31^C10)^2*C7^2))/(C31^C10)^2,0.00000001)</f>
        <v>0.0007654694042192199</v>
      </c>
      <c r="H9" s="5" t="s">
        <v>69</v>
      </c>
      <c r="I9">
        <v>22.5275</v>
      </c>
    </row>
    <row r="10" spans="1:3" ht="12.75">
      <c r="A10" t="s">
        <v>27</v>
      </c>
      <c r="B10" t="s">
        <v>26</v>
      </c>
      <c r="C10">
        <v>1</v>
      </c>
    </row>
    <row r="13" spans="12:13" ht="12.75">
      <c r="L13" s="11" t="s">
        <v>51</v>
      </c>
      <c r="M13" s="11" t="s">
        <v>47</v>
      </c>
    </row>
    <row r="14" spans="12:13" ht="12.75">
      <c r="L14" s="12" t="s">
        <v>48</v>
      </c>
      <c r="M14" s="11" t="s">
        <v>47</v>
      </c>
    </row>
    <row r="15" spans="2:13" ht="12.75">
      <c r="B15" s="11" t="s">
        <v>106</v>
      </c>
      <c r="E15" s="2" t="s">
        <v>21</v>
      </c>
      <c r="F15" t="s">
        <v>19</v>
      </c>
      <c r="H15" s="2" t="s">
        <v>39</v>
      </c>
      <c r="I15" s="7">
        <f>C31^(2*C10)*C9+(1-C31^C10)^2*C7^2</f>
        <v>0.0014364100000000002</v>
      </c>
      <c r="K15" s="8">
        <f>K18*ABS(I18-I7)+K19*ABS(I19-I8)+K20*ABS(I20-I9)</f>
        <v>5.75881711494529</v>
      </c>
      <c r="L15" s="13">
        <f>I17/I6</f>
        <v>1.0064187314167492</v>
      </c>
      <c r="M15" s="11" t="s">
        <v>47</v>
      </c>
    </row>
    <row r="16" spans="2:9" ht="12.75">
      <c r="B16" t="s">
        <v>18</v>
      </c>
      <c r="C16" s="16">
        <f>LN(C3)-0.5*C7^2+0.5*C7^2*(1-C23)-0.5*C9*C10*C31^(2*C10)/(1-C31^(2*C10))</f>
        <v>-2.821856930008705</v>
      </c>
      <c r="E16">
        <v>1</v>
      </c>
      <c r="F16" s="16">
        <f>EXP(E16*C16+0.5*E16^2*C17)*(1+E16^4/FACT(4)*(C18-3*C17^2)*(1-1/FACT(2)*E16^2*C17+3/FACT(4)*E16^4*C17^2)+E16^6/FACT(6)*(C19-15*C17^3)*(1-1/FACT(2)*E16^2*C17)+E16^8/FACT(8)*(C20-105*C17^4))</f>
        <v>0.06441954384276792</v>
      </c>
      <c r="H16" t="s">
        <v>20</v>
      </c>
      <c r="I16" s="6">
        <f>F16</f>
        <v>0.06441954384276792</v>
      </c>
    </row>
    <row r="17" spans="2:11" ht="12.75">
      <c r="B17" t="s">
        <v>13</v>
      </c>
      <c r="C17" s="16">
        <f>C9*C10*C31^(2*C10)/(1-C31^(2*C10))+C7^2*C23</f>
        <v>0.15874110317073392</v>
      </c>
      <c r="E17">
        <v>2</v>
      </c>
      <c r="F17" s="16">
        <f>EXP(E17*C16+0.5*E17^2*C17)*(1+E17^4/FACT(4)*(C18-3*C17^2)*(1-1/FACT(2)*E17^2*C17+3/FACT(4)*E17^4*C17^2)+E17^6/FACT(6)*(C19-15*C17^3)*(1-1/FACT(2)*E17^2*C17)+E17^8/FACT(8)*(C20-105*C17^4))</f>
        <v>0.004877040242403478</v>
      </c>
      <c r="H17" s="12" t="s">
        <v>48</v>
      </c>
      <c r="I17">
        <f>(F17-F16^2)^0.5/I16</f>
        <v>0.4185989413857276</v>
      </c>
      <c r="K17" s="11" t="s">
        <v>47</v>
      </c>
    </row>
    <row r="18" spans="2:12" ht="12.75">
      <c r="B18" t="s">
        <v>15</v>
      </c>
      <c r="C18" s="16">
        <f>3*(C9^2*C10^2*C31^(4*C10)/(1-C31^(2*C10))^2+2*C9*C10*C31^(2*C10)/(1-C31^(2*C10))*C7^2*C23+C7^4*C28)</f>
        <v>0.07878646209106771</v>
      </c>
      <c r="E18">
        <v>3</v>
      </c>
      <c r="F18" s="16">
        <f>EXP(E18*C16+0.5*E18^2*C17)*(1+E18^4/FACT(4)*(C18-3*C17^2)*(1-1/FACT(2)*E18^2*C17+3/FACT(4)*E18^4*C17^2)+E18^6/FACT(6)*(C19-15*C17^3)*(1-1/FACT(2)*E18^2*C17)+E18^8/FACT(8)*(C20-105*C17^4))</f>
        <v>0.0004385377804617491</v>
      </c>
      <c r="H18" s="5" t="s">
        <v>45</v>
      </c>
      <c r="I18">
        <f>(F18-3*F17*F16+2*F16^3)/(F17-F16^2)^(3/2)</f>
        <v>1.564316360307956</v>
      </c>
      <c r="K18" s="14">
        <v>1</v>
      </c>
      <c r="L18" s="11" t="s">
        <v>47</v>
      </c>
    </row>
    <row r="19" spans="2:11" ht="12.75">
      <c r="B19" t="s">
        <v>68</v>
      </c>
      <c r="C19" s="16">
        <f>15*(C9^3*C10^3*C31^(6*C10)/(1-C31^(2*C10))^3+3*C9^2*C10^2*C31^(4*C10)/(1-C31^(2*C10))^2*C7^2*C23+3*C9*C10*C31^(2*C10)/(1-C31^(2*C10))*C7^4*C28+C7^6*G28)</f>
        <v>0.07888659320733178</v>
      </c>
      <c r="E19">
        <v>4</v>
      </c>
      <c r="F19" s="16">
        <f>EXP(E19*C16+0.5*E19^2*C17)*(1+E19^4/FACT(4)*(C18-3*C17^2)*(1-1/FACT(2)*E19^2*C17+3/FACT(4)*E19^4*C17^2)+E19^6/FACT(6)*(C19-15*C17^3)*(1-1/FACT(2)*E19^2*C17)+E19^8/FACT(8)*(C20-105*C17^4))</f>
        <v>4.772957382537301E-05</v>
      </c>
      <c r="H19" s="5" t="s">
        <v>46</v>
      </c>
      <c r="I19">
        <f>(F19-4*F18*F16+6*F17*F16^2-3*F16^4)/(F17-F16^2)^2</f>
        <v>8.507036084425216</v>
      </c>
      <c r="K19" s="14">
        <v>1</v>
      </c>
    </row>
    <row r="20" spans="2:11" ht="12.75">
      <c r="B20" t="s">
        <v>105</v>
      </c>
      <c r="C20" s="16">
        <f>105*(C8^8*C10^4*C31^(8*C10)/(1-C31^(2*C10))^4+4*C8^6*C10^3*C31^(6*C10)/(1-C31^(2*C10))^3*C7^2*C23+6*C8^4*C10^2*C31^(4*C10)/(1-C31^(2*C10))^2*C7^4*C28+4*C8^2*C10*C31^(2*C10)/(1-C31^(2*C10))*C7^6*G28+C7^8*K32)</f>
        <v>0.11627186001999103</v>
      </c>
      <c r="E20">
        <v>5</v>
      </c>
      <c r="F20" s="16">
        <f>EXP(E20*C16+0.5*E20^2*C17)*(1+E20^4/FACT(4)*(C18-3*C17^2)*(1-1/FACT(2)*E20^2*C17+3/FACT(4)*E20^4*C17^2)+E20^6/FACT(6)*(C19-15*C17^3)*(1-1/FACT(2)*E20^2*C17)+E20^8/FACT(8)*(C20-105*C17^4))</f>
        <v>6.283795342345902E-06</v>
      </c>
      <c r="H20" s="5" t="s">
        <v>69</v>
      </c>
      <c r="I20">
        <f>(F21-6*F20*F16+15*F19*F16^2-20*F18*F16^3+15*F17*F16^4-5*F16^6)/(F17-F16^2)^3</f>
        <v>22.779564670212118</v>
      </c>
      <c r="K20" s="14">
        <v>1</v>
      </c>
    </row>
    <row r="21" spans="5:6" ht="12.75">
      <c r="E21">
        <v>6</v>
      </c>
      <c r="F21" s="16">
        <f>EXP(E21*C16+0.5*E21^2*C17)*(1+E21^4/FACT(4)*(C18-3*C17^2)*(1-1/FACT(2)*E21^2*C17+3/FACT(4)*E21^4*C17^2)+E21^6/FACT(6)*(C19-15*C17^3)*(1-1/FACT(2)*E21^2*C17)+E21^8/FACT(8)*(C20-105*C17^4))</f>
        <v>9.086772790033332E-07</v>
      </c>
    </row>
    <row r="23" spans="1:11" ht="12.75">
      <c r="A23" t="s">
        <v>32</v>
      </c>
      <c r="B23" t="s">
        <v>28</v>
      </c>
      <c r="C23" s="16">
        <f>E45*C39/(1-E38)+C46</f>
        <v>0.35396455993659215</v>
      </c>
      <c r="E23" t="s">
        <v>57</v>
      </c>
      <c r="F23" t="s">
        <v>58</v>
      </c>
      <c r="G23" s="16">
        <f>O45*G39/(1-O38)+G46</f>
        <v>0.03982856833075672</v>
      </c>
      <c r="I23" t="s">
        <v>70</v>
      </c>
      <c r="J23" t="s">
        <v>71</v>
      </c>
      <c r="K23" s="16">
        <f>S45*I39/(1-S38)+I46</f>
        <v>0.01995516214814018</v>
      </c>
    </row>
    <row r="24" spans="1:11" ht="12.75">
      <c r="A24" t="s">
        <v>33</v>
      </c>
      <c r="B24" t="s">
        <v>31</v>
      </c>
      <c r="C24" s="16">
        <f>I45*E39/(1-I38)+E46</f>
        <v>0.09705656038690902</v>
      </c>
      <c r="E24" t="s">
        <v>59</v>
      </c>
      <c r="F24" t="s">
        <v>60</v>
      </c>
      <c r="G24" s="16">
        <f>E45*I45*C39*E39/(1-E38*I38)+C46*E46</f>
        <v>0.014681203912096975</v>
      </c>
      <c r="I24" t="s">
        <v>72</v>
      </c>
      <c r="J24" t="s">
        <v>73</v>
      </c>
      <c r="K24" s="16">
        <f>O45*E45*G39*C39/(1-O38*E38)+G46*C46</f>
        <v>0.006255757163954371</v>
      </c>
    </row>
    <row r="25" spans="1:11" ht="12.75">
      <c r="A25" t="s">
        <v>34</v>
      </c>
      <c r="B25" t="s">
        <v>35</v>
      </c>
      <c r="C25" s="16">
        <f>E45^2*C39^2/(1-E38^2)+C46^2</f>
        <v>0.04776321708399266</v>
      </c>
      <c r="E25" t="s">
        <v>61</v>
      </c>
      <c r="F25" t="s">
        <v>62</v>
      </c>
      <c r="G25" s="16">
        <f>E45^3*C39^3/(1-E38^3)+C46^3</f>
        <v>0.007286180973613788</v>
      </c>
      <c r="I25" t="s">
        <v>74</v>
      </c>
      <c r="J25" t="s">
        <v>75</v>
      </c>
      <c r="K25" s="16">
        <f>I45^2*E39^2/(1-I38^2)+E46^2</f>
        <v>0.004687219537619552</v>
      </c>
    </row>
    <row r="26" spans="1:11" ht="12.75">
      <c r="A26" t="s">
        <v>36</v>
      </c>
      <c r="B26" t="s">
        <v>14</v>
      </c>
      <c r="C26" s="16">
        <f>IF(2&lt;C27,1/E45/K45,0)</f>
        <v>0.440455886407637</v>
      </c>
      <c r="E26" t="s">
        <v>63</v>
      </c>
      <c r="F26" s="5" t="s">
        <v>64</v>
      </c>
      <c r="G26" s="16">
        <f>IF(2&lt;C27,E45/I45/K45,0)</f>
        <v>0.32998041521176597</v>
      </c>
      <c r="H26" s="18" t="s">
        <v>107</v>
      </c>
      <c r="I26" t="s">
        <v>76</v>
      </c>
      <c r="J26" t="s">
        <v>77</v>
      </c>
      <c r="K26" s="16">
        <f>I45*E45^2*E39*C39^2/(1-I38*E38^2)+E46*C46^2</f>
        <v>0.0023238431569856757</v>
      </c>
    </row>
    <row r="27" spans="1:11" ht="12.75">
      <c r="A27" t="s">
        <v>104</v>
      </c>
      <c r="C27" s="16">
        <f>-1/C5/LN(C31)</f>
        <v>3.92414461779869</v>
      </c>
      <c r="E27" t="s">
        <v>21</v>
      </c>
      <c r="F27" t="s">
        <v>65</v>
      </c>
      <c r="G27" s="16">
        <f>G26*C26</f>
        <v>0.1453418162792585</v>
      </c>
      <c r="I27" t="s">
        <v>78</v>
      </c>
      <c r="J27" t="s">
        <v>79</v>
      </c>
      <c r="K27" s="16">
        <f>E45^4*C39^4/(1-E38^4)+C46^4</f>
        <v>0.0011529089791442316</v>
      </c>
    </row>
    <row r="28" spans="1:11" ht="12.75">
      <c r="A28" t="s">
        <v>38</v>
      </c>
      <c r="B28" t="s">
        <v>37</v>
      </c>
      <c r="C28" s="16">
        <f>C24+C26*(C23^2-C25)</f>
        <v>0.13120408895531366</v>
      </c>
      <c r="E28" t="s">
        <v>66</v>
      </c>
      <c r="F28" t="s">
        <v>67</v>
      </c>
      <c r="G28" s="16">
        <f>G23+3*G26*(C24*C23-G24)+G27*(C23^3-3*C23*C25+2*G25)</f>
        <v>0.060496070378005556</v>
      </c>
      <c r="I28" t="s">
        <v>80</v>
      </c>
      <c r="J28" t="s">
        <v>81</v>
      </c>
      <c r="K28" s="16">
        <f>IF(4&lt;C27,1/I45/U45,0)</f>
        <v>0</v>
      </c>
    </row>
    <row r="29" spans="9:11" ht="12.75">
      <c r="I29" t="s">
        <v>82</v>
      </c>
      <c r="J29" t="s">
        <v>83</v>
      </c>
      <c r="K29" s="16">
        <f>K28*C26</f>
        <v>0</v>
      </c>
    </row>
    <row r="30" spans="9:15" ht="12.75">
      <c r="I30" t="s">
        <v>84</v>
      </c>
      <c r="J30" t="s">
        <v>85</v>
      </c>
      <c r="K30" s="16">
        <f>IF(2&lt;C27,I45/O45/K45,0)</f>
        <v>0.2870369647315772</v>
      </c>
      <c r="L30">
        <f>I45/O45/K45</f>
        <v>0.2870369647315772</v>
      </c>
      <c r="M30">
        <f>U45/E45/W45</f>
        <v>2.1554633640961036</v>
      </c>
      <c r="N30">
        <f>IF(6&lt;C27,U45/E45/W45,0)</f>
        <v>0</v>
      </c>
      <c r="O30" t="s">
        <v>86</v>
      </c>
    </row>
    <row r="31" spans="2:11" ht="12.75">
      <c r="B31" s="11" t="s">
        <v>52</v>
      </c>
      <c r="C31">
        <f>MIN(1-C6,0.999)</f>
        <v>0.958417204</v>
      </c>
      <c r="I31" t="s">
        <v>87</v>
      </c>
      <c r="J31" t="s">
        <v>88</v>
      </c>
      <c r="K31" s="16">
        <f>K30*G27</f>
        <v>0.041718473793372894</v>
      </c>
    </row>
    <row r="32" spans="9:21" ht="12.75">
      <c r="I32" t="s">
        <v>89</v>
      </c>
      <c r="J32" t="s">
        <v>90</v>
      </c>
      <c r="K32" s="16">
        <f>K23+4*K30*(G23*C23-K24)+3*K28*(C24^2-K25)+6*K29*(C24*C23^2-2*G24*C23-C24*C25+2*K26)+K31*(C23^4-6*C23^2*C25+8*C23*G25+3*C25^2-6*K27)</f>
        <v>0.028973744666511064</v>
      </c>
      <c r="U32" s="11" t="s">
        <v>47</v>
      </c>
    </row>
    <row r="34" spans="2:19" ht="12.75">
      <c r="B34" s="1"/>
      <c r="C34" s="1" t="s">
        <v>25</v>
      </c>
      <c r="E34" s="1" t="s">
        <v>23</v>
      </c>
      <c r="G34" s="1" t="s">
        <v>29</v>
      </c>
      <c r="I34" s="1" t="s">
        <v>30</v>
      </c>
      <c r="M34" s="1" t="s">
        <v>55</v>
      </c>
      <c r="O34" s="1" t="s">
        <v>56</v>
      </c>
      <c r="Q34" s="1" t="s">
        <v>92</v>
      </c>
      <c r="S34" s="1" t="s">
        <v>93</v>
      </c>
    </row>
    <row r="35" spans="2:19" ht="12.75">
      <c r="B35" s="1" t="s">
        <v>11</v>
      </c>
      <c r="C35" s="1">
        <f>-LN(C31)</f>
        <v>0.042472101030812906</v>
      </c>
      <c r="E35" s="1">
        <f>-2*LN(C31)</f>
        <v>0.08494420206162581</v>
      </c>
      <c r="G35" s="1">
        <f>-3*LN(C31)</f>
        <v>0.12741630309243873</v>
      </c>
      <c r="I35" s="1">
        <f>-4*LN(C31)</f>
        <v>0.16988840412325162</v>
      </c>
      <c r="M35" s="1">
        <f>-5*LN(C31)</f>
        <v>0.21236050515406452</v>
      </c>
      <c r="O35" s="1">
        <f>-6*LN(C31)</f>
        <v>0.25483260618487746</v>
      </c>
      <c r="Q35" s="1">
        <f>-7*LN($C$31)</f>
        <v>0.29730470721569036</v>
      </c>
      <c r="S35" s="1">
        <f>-8*LN($C$31)</f>
        <v>0.33977680824650325</v>
      </c>
    </row>
    <row r="36" spans="2:19" ht="12.75">
      <c r="B36" s="1" t="s">
        <v>5</v>
      </c>
      <c r="C36" s="1">
        <f>C4</f>
        <v>3</v>
      </c>
      <c r="E36">
        <f>C4</f>
        <v>3</v>
      </c>
      <c r="G36">
        <f>C4</f>
        <v>3</v>
      </c>
      <c r="I36">
        <f>C4</f>
        <v>3</v>
      </c>
      <c r="M36">
        <f>C4</f>
        <v>3</v>
      </c>
      <c r="O36">
        <f>C4</f>
        <v>3</v>
      </c>
      <c r="Q36">
        <f>$C$4</f>
        <v>3</v>
      </c>
      <c r="S36">
        <f>$C$4</f>
        <v>3</v>
      </c>
    </row>
    <row r="37" spans="2:19" ht="12.75">
      <c r="B37" s="1" t="s">
        <v>6</v>
      </c>
      <c r="C37" s="1">
        <f>C5</f>
        <v>6</v>
      </c>
      <c r="E37">
        <f>C5</f>
        <v>6</v>
      </c>
      <c r="G37">
        <f>C5</f>
        <v>6</v>
      </c>
      <c r="I37">
        <f>C5</f>
        <v>6</v>
      </c>
      <c r="M37">
        <f>C5</f>
        <v>6</v>
      </c>
      <c r="O37">
        <f>C5</f>
        <v>6</v>
      </c>
      <c r="Q37">
        <f>$C$5</f>
        <v>6</v>
      </c>
      <c r="S37">
        <f>$C$5</f>
        <v>6</v>
      </c>
    </row>
    <row r="38" spans="1:19" ht="12.75">
      <c r="A38">
        <v>6</v>
      </c>
      <c r="B38" s="1" t="s">
        <v>12</v>
      </c>
      <c r="C38" s="17">
        <f>(1+C37*C35)^(-C36)</f>
        <v>0.5061073153625427</v>
      </c>
      <c r="D38">
        <v>2</v>
      </c>
      <c r="E38" s="17">
        <f>(1+E37*E35)^(-E36)</f>
        <v>0.2906417884070829</v>
      </c>
      <c r="F38">
        <v>12</v>
      </c>
      <c r="G38" s="17">
        <f>(1+G37*G35)^(-G36)</f>
        <v>0.18202733998171378</v>
      </c>
      <c r="H38">
        <v>8</v>
      </c>
      <c r="I38" s="17">
        <f>(1+I37*I35)^(-I36)</f>
        <v>0.121444495141928</v>
      </c>
      <c r="L38">
        <v>18</v>
      </c>
      <c r="M38" s="17">
        <f>(1+M37*M35)^(-M36)</f>
        <v>0.08502276297391378</v>
      </c>
      <c r="N38">
        <v>20</v>
      </c>
      <c r="O38" s="17">
        <f>(1+O37*O35)^(-O36)</f>
        <v>0.061823809135196285</v>
      </c>
      <c r="P38">
        <v>24</v>
      </c>
      <c r="Q38" s="17">
        <f>(1+Q37*Q35)^(-Q36)</f>
        <v>0.04635244956583849</v>
      </c>
      <c r="R38">
        <v>26</v>
      </c>
      <c r="S38" s="17">
        <f>(1+S37*S35)^(-S36)</f>
        <v>0.03564128133105975</v>
      </c>
    </row>
    <row r="39" spans="1:9" ht="12.75">
      <c r="A39">
        <v>4</v>
      </c>
      <c r="C39" s="16">
        <f>1-2*C38+E38</f>
        <v>0.27842715768199744</v>
      </c>
      <c r="D39">
        <v>10</v>
      </c>
      <c r="E39" s="16">
        <f>1-4*C38+6*E38-4*G38+I38</f>
        <v>0.11275660420739929</v>
      </c>
      <c r="F39">
        <v>16</v>
      </c>
      <c r="G39" s="16">
        <f>1-6*C38+15*E38-20*G38+15*I38-6*M38+O38</f>
        <v>0.05579079271734503</v>
      </c>
      <c r="H39">
        <v>22</v>
      </c>
      <c r="I39" s="16">
        <f>1-8*C38+28*E38-56*G38+70*I38-56*M38+28*O38-8*Q38+S38</f>
        <v>0.0313087875076437</v>
      </c>
    </row>
    <row r="40" spans="3:9" ht="12.75">
      <c r="C40" t="s">
        <v>96</v>
      </c>
      <c r="E40" t="s">
        <v>97</v>
      </c>
      <c r="G40" t="s">
        <v>98</v>
      </c>
      <c r="I40" t="s">
        <v>99</v>
      </c>
    </row>
    <row r="41" spans="2:23" ht="12.75">
      <c r="B41" s="1"/>
      <c r="C41" s="1"/>
      <c r="E41" s="1"/>
      <c r="K41" t="s">
        <v>54</v>
      </c>
      <c r="U41" t="s">
        <v>94</v>
      </c>
      <c r="W41" t="s">
        <v>95</v>
      </c>
    </row>
    <row r="42" spans="2:23" ht="12.75">
      <c r="B42" s="1" t="s">
        <v>11</v>
      </c>
      <c r="C42" s="1">
        <f>-LN(C31)</f>
        <v>0.042472101030812906</v>
      </c>
      <c r="E42" s="1">
        <f>-2*LN(C31)</f>
        <v>0.08494420206162581</v>
      </c>
      <c r="G42" s="1">
        <f>-3*LN(C31)</f>
        <v>0.12741630309243873</v>
      </c>
      <c r="I42" s="1">
        <f>-4*LN(C31)</f>
        <v>0.16988840412325162</v>
      </c>
      <c r="K42">
        <f>2*LN(C31)</f>
        <v>-0.08494420206162581</v>
      </c>
      <c r="M42" s="1">
        <f>-5*LN(C31)</f>
        <v>0.21236050515406452</v>
      </c>
      <c r="O42" s="1">
        <f>-6*LN(C31)</f>
        <v>0.25483260618487746</v>
      </c>
      <c r="Q42" s="1">
        <f>-7*LN($C$31)</f>
        <v>0.29730470721569036</v>
      </c>
      <c r="S42" s="15">
        <f>-8*LN($C$31)</f>
        <v>0.33977680824650325</v>
      </c>
      <c r="U42" s="15">
        <f>4*LN($C$31)</f>
        <v>-0.16988840412325162</v>
      </c>
      <c r="W42" s="15">
        <f>6*LN($C$31)</f>
        <v>-0.25483260618487746</v>
      </c>
    </row>
    <row r="43" spans="2:23" ht="12.75">
      <c r="B43" s="1" t="s">
        <v>5</v>
      </c>
      <c r="C43" s="1">
        <f>C4</f>
        <v>3</v>
      </c>
      <c r="E43">
        <f>C4</f>
        <v>3</v>
      </c>
      <c r="G43">
        <f>C4</f>
        <v>3</v>
      </c>
      <c r="I43">
        <f>C4</f>
        <v>3</v>
      </c>
      <c r="K43">
        <f>C4</f>
        <v>3</v>
      </c>
      <c r="M43">
        <f>C4</f>
        <v>3</v>
      </c>
      <c r="O43">
        <f>C4</f>
        <v>3</v>
      </c>
      <c r="Q43">
        <f>$C$4</f>
        <v>3</v>
      </c>
      <c r="S43" s="11">
        <f>$C$4</f>
        <v>3</v>
      </c>
      <c r="U43" s="11">
        <f>$C$4</f>
        <v>3</v>
      </c>
      <c r="W43" s="11">
        <f>$C$4</f>
        <v>3</v>
      </c>
    </row>
    <row r="44" spans="2:23" ht="12.75">
      <c r="B44" s="1" t="s">
        <v>6</v>
      </c>
      <c r="C44" s="1">
        <f>C5</f>
        <v>6</v>
      </c>
      <c r="E44">
        <f>C5</f>
        <v>6</v>
      </c>
      <c r="G44">
        <f>C5</f>
        <v>6</v>
      </c>
      <c r="I44">
        <f>C5</f>
        <v>6</v>
      </c>
      <c r="K44">
        <f>C5</f>
        <v>6</v>
      </c>
      <c r="M44">
        <f>C5</f>
        <v>6</v>
      </c>
      <c r="O44">
        <f>C5</f>
        <v>6</v>
      </c>
      <c r="Q44">
        <f>$C$5</f>
        <v>6</v>
      </c>
      <c r="S44" s="11">
        <f>$C$5</f>
        <v>6</v>
      </c>
      <c r="U44" s="11">
        <f>$C$5</f>
        <v>6</v>
      </c>
      <c r="W44" s="11">
        <f>$C$5</f>
        <v>6</v>
      </c>
    </row>
    <row r="45" spans="1:23" ht="12.75">
      <c r="A45">
        <v>5</v>
      </c>
      <c r="B45" s="1" t="s">
        <v>24</v>
      </c>
      <c r="C45" s="17">
        <f>1/C43/C44/C42*(1-(1+C44*C42)^(-C43))</f>
        <v>0.6460354400634079</v>
      </c>
      <c r="D45">
        <v>1</v>
      </c>
      <c r="E45" s="17">
        <f>1/E43/E44/E42*(1-(1+E44*E42)^(-E43))</f>
        <v>0.46393736801894164</v>
      </c>
      <c r="F45">
        <v>11</v>
      </c>
      <c r="G45" s="17">
        <f>1/G43/G44/G42*(1-(1+G44*G42)^(-G43))</f>
        <v>0.35664922347969275</v>
      </c>
      <c r="H45">
        <v>7</v>
      </c>
      <c r="I45" s="17">
        <f>1/I43/I44/I42*(1-(1+I44*I42)^(-I43))</f>
        <v>0.28729823798551785</v>
      </c>
      <c r="J45">
        <v>13</v>
      </c>
      <c r="K45" s="17">
        <f>IF(K42&gt;-1/K44,1/K43/K44/K42*(1-(1+K44*K42)^(-K43)),10^300)</f>
        <v>4.893709973264488</v>
      </c>
      <c r="L45">
        <v>17</v>
      </c>
      <c r="M45" s="17">
        <f>1/M43/M44/M42*(1-(1+M44*M42)^(-M43))</f>
        <v>0.2393668666722822</v>
      </c>
      <c r="N45">
        <v>19</v>
      </c>
      <c r="O45" s="17">
        <f>1/O43/O44/O42*(1-(1+O44*O42)^(-O43))</f>
        <v>0.20452994721827752</v>
      </c>
      <c r="P45">
        <v>23</v>
      </c>
      <c r="Q45" s="17">
        <f>1/Q43/Q44/Q42*(1-(1+Q44*Q42)^(-Q43))</f>
        <v>0.17820242391967234</v>
      </c>
      <c r="R45">
        <v>25</v>
      </c>
      <c r="S45" s="17">
        <f>1/S43/S44/S42*(1-(1+S44*S42)^(-S43))</f>
        <v>0.1576784614788318</v>
      </c>
      <c r="T45">
        <v>27</v>
      </c>
      <c r="U45" s="17">
        <f>IF(U42&gt;-1/U44,1/U43/U44/U42*(1-(1+U44*U42)^(-U43)),10^300)</f>
        <v>1E+300</v>
      </c>
      <c r="V45">
        <v>29</v>
      </c>
      <c r="W45" s="17">
        <f>IF(W42&gt;-1/W44,1/W43/W44/W42*(1-(1+W44*W42)^(-W43)),10^300)</f>
        <v>1E+300</v>
      </c>
    </row>
    <row r="46" spans="1:23" ht="12.75">
      <c r="A46">
        <v>3</v>
      </c>
      <c r="C46" s="16">
        <f>1-2*C45+E45</f>
        <v>0.17186648789212594</v>
      </c>
      <c r="D46">
        <v>9</v>
      </c>
      <c r="E46" s="16">
        <f>1-4*C45+6*E45-4*G45+I45</f>
        <v>0.06018379192676543</v>
      </c>
      <c r="F46">
        <v>15</v>
      </c>
      <c r="G46" s="16">
        <f>1-6*C45+15*E45-20*G45+15*I45-6*M45+O45</f>
        <v>0.02766572727717384</v>
      </c>
      <c r="H46">
        <v>21</v>
      </c>
      <c r="I46" s="16">
        <f>1-8*C45+28*E45-56*G45+70*I45-56*M45+28*O45-8*Q45+S45</f>
        <v>0.014835986731976725</v>
      </c>
      <c r="K46" s="18" t="s">
        <v>108</v>
      </c>
      <c r="U46" s="18" t="s">
        <v>108</v>
      </c>
      <c r="W46" s="18" t="s">
        <v>108</v>
      </c>
    </row>
    <row r="47" spans="3:23" ht="12.75">
      <c r="C47" t="s">
        <v>100</v>
      </c>
      <c r="E47" t="s">
        <v>101</v>
      </c>
      <c r="G47" t="s">
        <v>102</v>
      </c>
      <c r="I47" t="s">
        <v>103</v>
      </c>
      <c r="K47" s="18" t="s">
        <v>109</v>
      </c>
      <c r="U47" s="18" t="s">
        <v>109</v>
      </c>
      <c r="W47" s="18" t="s">
        <v>109</v>
      </c>
    </row>
    <row r="49" spans="13:18" ht="12.75">
      <c r="M49" s="11" t="s">
        <v>47</v>
      </c>
      <c r="R49" s="11" t="s">
        <v>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 Li</dc:creator>
  <cp:keywords/>
  <dc:description/>
  <cp:lastModifiedBy>Jim Bridgeman</cp:lastModifiedBy>
  <dcterms:created xsi:type="dcterms:W3CDTF">2008-06-18T17:03:37Z</dcterms:created>
  <dcterms:modified xsi:type="dcterms:W3CDTF">2009-05-28T17:15:58Z</dcterms:modified>
  <cp:category/>
  <cp:version/>
  <cp:contentType/>
  <cp:contentStatus/>
</cp:coreProperties>
</file>